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Les Maristes - Saint Etienne\Administratif\Administratif Dossier d'inscription\Inscription Rentrée 2016\Dossier d'inscription 2017 2018\"/>
    </mc:Choice>
  </mc:AlternateContent>
  <bookViews>
    <workbookView xWindow="0" yWindow="0" windowWidth="15360" windowHeight="7755"/>
  </bookViews>
  <sheets>
    <sheet name="Feuille de calcul" sheetId="1" r:id="rId1"/>
  </sheets>
  <definedNames>
    <definedName name="_xlnm._FilterDatabase" localSheetId="0" hidden="1">'Feuille de calcul'!$A$1:$X$43</definedName>
  </definedNames>
  <calcPr calcId="152511" concurrentCalc="0"/>
</workbook>
</file>

<file path=xl/calcChain.xml><?xml version="1.0" encoding="utf-8"?>
<calcChain xmlns="http://schemas.openxmlformats.org/spreadsheetml/2006/main">
  <c r="G13" i="1" l="1"/>
  <c r="H13" i="1"/>
  <c r="C13" i="1"/>
  <c r="K39" i="1"/>
  <c r="J39" i="1"/>
  <c r="I39" i="1"/>
  <c r="H39" i="1"/>
  <c r="C38" i="1"/>
  <c r="C10" i="1"/>
  <c r="S11" i="1"/>
  <c r="R11" i="1"/>
  <c r="Q11" i="1"/>
  <c r="P11" i="1"/>
  <c r="O11" i="1"/>
  <c r="N11" i="1"/>
  <c r="M11" i="1"/>
  <c r="L11" i="1"/>
  <c r="K11" i="1"/>
  <c r="J11" i="1"/>
  <c r="I11" i="1"/>
  <c r="H11" i="1"/>
  <c r="G11" i="1"/>
  <c r="C11" i="1"/>
  <c r="V17" i="1"/>
  <c r="U17" i="1"/>
  <c r="T17" i="1"/>
  <c r="S17" i="1"/>
  <c r="R17" i="1"/>
  <c r="Q17" i="1"/>
  <c r="P17" i="1"/>
  <c r="O17" i="1"/>
  <c r="N17" i="1"/>
  <c r="M17" i="1"/>
  <c r="L17" i="1"/>
  <c r="K17" i="1"/>
  <c r="J17" i="1"/>
  <c r="I17" i="1"/>
  <c r="H17" i="1"/>
  <c r="G17" i="1"/>
  <c r="V16" i="1"/>
  <c r="U16" i="1"/>
  <c r="T16" i="1"/>
  <c r="S16" i="1"/>
  <c r="R16" i="1"/>
  <c r="Q16" i="1"/>
  <c r="P16" i="1"/>
  <c r="O16" i="1"/>
  <c r="N16" i="1"/>
  <c r="M16" i="1"/>
  <c r="L16" i="1"/>
  <c r="K16" i="1"/>
  <c r="J16" i="1"/>
  <c r="I16" i="1"/>
  <c r="H16" i="1"/>
  <c r="C16" i="1"/>
  <c r="C22" i="1"/>
  <c r="C24" i="1"/>
  <c r="C26" i="1"/>
  <c r="C28" i="1"/>
  <c r="C30" i="1"/>
  <c r="C33" i="1"/>
  <c r="H35" i="1"/>
  <c r="C35" i="1"/>
  <c r="G21" i="1"/>
  <c r="D16" i="1"/>
  <c r="D19" i="1"/>
  <c r="G22" i="1"/>
  <c r="E16" i="1"/>
  <c r="E19" i="1"/>
  <c r="G23" i="1"/>
  <c r="F16" i="1"/>
  <c r="F19" i="1"/>
  <c r="F20" i="1"/>
  <c r="E20" i="1"/>
  <c r="D20" i="1"/>
  <c r="D18" i="1"/>
  <c r="C17" i="1"/>
  <c r="D13" i="1"/>
  <c r="D22" i="1"/>
  <c r="D24" i="1"/>
  <c r="D26" i="1"/>
  <c r="D28" i="1"/>
  <c r="D30" i="1"/>
  <c r="D33" i="1"/>
  <c r="D35" i="1"/>
  <c r="D38" i="1"/>
  <c r="E13" i="1"/>
  <c r="E22" i="1"/>
  <c r="E24" i="1"/>
  <c r="E26" i="1"/>
  <c r="E28" i="1"/>
  <c r="E30" i="1"/>
  <c r="E33" i="1"/>
  <c r="E35" i="1"/>
  <c r="E38" i="1"/>
  <c r="F13" i="1"/>
  <c r="F22" i="1"/>
  <c r="F24" i="1"/>
  <c r="F26" i="1"/>
  <c r="F28" i="1"/>
  <c r="F30" i="1"/>
  <c r="F33" i="1"/>
  <c r="F35" i="1"/>
  <c r="F38" i="1"/>
  <c r="C15" i="1"/>
  <c r="C39" i="1"/>
  <c r="K42" i="1"/>
  <c r="J42" i="1"/>
  <c r="I42" i="1"/>
  <c r="H42" i="1"/>
  <c r="I24" i="1"/>
  <c r="I26" i="1"/>
  <c r="I28" i="1"/>
  <c r="I30" i="1"/>
  <c r="K40" i="1"/>
  <c r="J40" i="1"/>
  <c r="I40" i="1"/>
  <c r="H40" i="1"/>
  <c r="F50" i="1"/>
  <c r="T11" i="1"/>
  <c r="G14" i="1"/>
  <c r="I13" i="1"/>
  <c r="F51" i="1"/>
  <c r="F52" i="1"/>
  <c r="F53" i="1"/>
  <c r="F54" i="1"/>
  <c r="F55" i="1"/>
  <c r="K44" i="1"/>
  <c r="J44" i="1"/>
  <c r="I44" i="1"/>
  <c r="H44" i="1"/>
  <c r="C7" i="1"/>
  <c r="D7" i="1"/>
  <c r="E7" i="1"/>
  <c r="F7" i="1"/>
  <c r="F46" i="1"/>
  <c r="F45" i="1"/>
  <c r="F47" i="1"/>
  <c r="F48" i="1"/>
  <c r="F49" i="1"/>
  <c r="H14" i="1"/>
  <c r="J13" i="1"/>
  <c r="I14" i="1"/>
  <c r="K13" i="1"/>
  <c r="K41" i="1"/>
  <c r="J41" i="1"/>
  <c r="I41" i="1"/>
  <c r="H41" i="1"/>
  <c r="I35" i="1"/>
  <c r="J35" i="1"/>
  <c r="K35" i="1"/>
  <c r="K43" i="1"/>
  <c r="J43" i="1"/>
  <c r="I43" i="1"/>
  <c r="H43" i="1"/>
  <c r="C32" i="1"/>
  <c r="D32" i="1"/>
  <c r="E32" i="1"/>
  <c r="F32" i="1"/>
  <c r="F40" i="1"/>
  <c r="I10" i="1"/>
  <c r="I9" i="1"/>
  <c r="J9" i="1"/>
  <c r="I8" i="1"/>
  <c r="J8" i="1"/>
  <c r="I6" i="1"/>
  <c r="J6" i="1"/>
  <c r="C1" i="1"/>
  <c r="H10" i="1"/>
  <c r="H9" i="1"/>
  <c r="H8" i="1"/>
  <c r="H6" i="1"/>
  <c r="H26" i="1"/>
  <c r="H28" i="1"/>
  <c r="K28" i="1"/>
  <c r="J28" i="1"/>
  <c r="K26" i="1"/>
  <c r="J26" i="1"/>
  <c r="J24" i="1"/>
  <c r="E18" i="1"/>
  <c r="F18" i="1"/>
  <c r="H24" i="1"/>
  <c r="K24" i="1"/>
  <c r="H30" i="1"/>
  <c r="J30" i="1"/>
  <c r="K30" i="1"/>
</calcChain>
</file>

<file path=xl/comments1.xml><?xml version="1.0" encoding="utf-8"?>
<comments xmlns="http://schemas.openxmlformats.org/spreadsheetml/2006/main">
  <authors>
    <author>Jean-Pierre Laurey</author>
  </authors>
  <commentList>
    <comment ref="B6" authorId="0" shapeId="0">
      <text>
        <r>
          <rPr>
            <sz val="9"/>
            <color indexed="81"/>
            <rFont val="Tahoma"/>
            <family val="2"/>
          </rPr>
          <t>Vous devez obligatoirement saisir le niveau de vos enfants en commençant par les collègiens puis les écoliers.</t>
        </r>
      </text>
    </comment>
    <comment ref="B8" authorId="0" shapeId="0">
      <text>
        <r>
          <rPr>
            <sz val="9"/>
            <color indexed="81"/>
            <rFont val="Tahoma"/>
            <family val="2"/>
          </rPr>
          <t>Additionner le total des salaires et assimilés et les pensions et retraites des deux responsables de la feuille d'avis d'impôt 2016 sur les revenus de l'année 2015.</t>
        </r>
      </text>
    </comment>
    <comment ref="B9" authorId="0" shapeId="0">
      <text>
        <r>
          <rPr>
            <sz val="9"/>
            <color indexed="81"/>
            <rFont val="Tahoma"/>
            <family val="2"/>
          </rPr>
          <t>Additionner toutes les prestations familiales hormis l'APL et l'allocation enfant handicapé.</t>
        </r>
      </text>
    </comment>
    <comment ref="B12" authorId="0" shapeId="0">
      <text>
        <r>
          <rPr>
            <sz val="9"/>
            <color indexed="81"/>
            <rFont val="Tahoma"/>
            <family val="2"/>
          </rPr>
          <t>Pour chaque enfant, vous devez mentionner s'il s'agit d'une inscription ou d'une ré-inscription (présent en 2016/2017).</t>
        </r>
      </text>
    </comment>
    <comment ref="B14" authorId="0" shapeId="0">
      <text>
        <r>
          <rPr>
            <sz val="9"/>
            <color indexed="81"/>
            <rFont val="Tahoma"/>
            <family val="2"/>
          </rPr>
          <t xml:space="preserve">Veuillez renseigner cette case, si vous souhaitez adhérer à l'APEL. Le règlement est séparé et se fait à l'ordre de "APEL Les Maristes - St Etienne".  </t>
        </r>
      </text>
    </comment>
    <comment ref="B17" authorId="0" shapeId="0">
      <text>
        <r>
          <rPr>
            <sz val="9"/>
            <color indexed="81"/>
            <rFont val="Tahoma"/>
            <family val="2"/>
          </rPr>
          <t>A partir de deux enfants scolarisés, vous avez une remise sur les frais de scolarité : 15% pour deux enfants, 20% pour 3 enfants et plus.</t>
        </r>
      </text>
    </comment>
    <comment ref="B22" authorId="0" shapeId="0">
      <text>
        <r>
          <rPr>
            <sz val="9"/>
            <color indexed="81"/>
            <rFont val="Tahoma"/>
            <family val="2"/>
          </rPr>
          <t>Pour chaque enfant scolarisé à l'école, une somme de 48€ pour les activités et sorties pédagogiques est demandée se déroulant dans l'école (accueil d'intervenants extérieurs en musique, théâtre, art, etc.) ou hors de l'école (visite de musée, d'une ferme, séance de cinéma ou de cirque, etc.)</t>
        </r>
      </text>
    </comment>
    <comment ref="B23" authorId="0" shapeId="0">
      <text>
        <r>
          <rPr>
            <sz val="9"/>
            <color indexed="81"/>
            <rFont val="Tahoma"/>
            <family val="2"/>
          </rPr>
          <t>La garderie est un service payant jusqu'à 8h15 (pour les élèves de maternelles uniquement).</t>
        </r>
      </text>
    </comment>
    <comment ref="B25" authorId="0" shapeId="0">
      <text>
        <r>
          <rPr>
            <sz val="9"/>
            <color indexed="81"/>
            <rFont val="Tahoma"/>
            <family val="2"/>
          </rPr>
          <t>La garderie pour les écoliers est un service payant à partir de 17h00.</t>
        </r>
      </text>
    </comment>
    <comment ref="B27" authorId="0" shapeId="0">
      <text>
        <r>
          <rPr>
            <sz val="9"/>
            <color indexed="81"/>
            <rFont val="Tahoma"/>
            <family val="2"/>
          </rPr>
          <t>L'étude se déroule en soirée de 17h00 à 18h00, puis garderie jusqu'à 18h00.</t>
        </r>
      </text>
    </comment>
    <comment ref="B29" authorId="0" shapeId="0">
      <text>
        <r>
          <rPr>
            <sz val="9"/>
            <color indexed="81"/>
            <rFont val="Tahoma"/>
            <family val="2"/>
          </rPr>
          <t>L'étude se déroule en soirée de 16h30 à 17h30, puis garderie jusqu'à 18h00.</t>
        </r>
      </text>
    </comment>
    <comment ref="B32" authorId="0" shapeId="0">
      <text>
        <r>
          <rPr>
            <sz val="9"/>
            <color indexed="81"/>
            <rFont val="Tahoma"/>
            <family val="2"/>
          </rPr>
          <t>Une caution de 100€ pour l'ensemble des livres est demandée. Elle est restituée en juin lors de la remise de TOUS les livres. Elle est encaissée si tous les livres ne sont pas rendus.</t>
        </r>
      </text>
    </comment>
    <comment ref="B34" authorId="0" shapeId="0">
      <text>
        <r>
          <rPr>
            <sz val="9"/>
            <color indexed="81"/>
            <rFont val="Tahoma"/>
            <family val="2"/>
          </rPr>
          <t>Pour les élèves mangeant au restaurant scolaire, l'accès se fait par badge. Il est valable uniquement pour l'année scolaire et est obligatoire dès le premier repas.</t>
        </r>
      </text>
    </comment>
    <comment ref="B37" authorId="0" shapeId="0">
      <text>
        <r>
          <rPr>
            <sz val="9"/>
            <color indexed="81"/>
            <rFont val="Tahoma"/>
            <charset val="1"/>
          </rPr>
          <t xml:space="preserve">Un abonnement est possible à la cantine pour 2, 3, 4 ou 5 repas par semaine. Les jours sont à respecter. Pour manger sur d'autres journées que celles faisant parties de l'abonnement, le repas est facturé 5€50.
</t>
        </r>
      </text>
    </comment>
    <comment ref="B42" authorId="0" shapeId="0">
      <text>
        <r>
          <rPr>
            <sz val="9"/>
            <color indexed="81"/>
            <rFont val="Tahoma"/>
            <family val="2"/>
          </rPr>
          <t xml:space="preserve">Pour le calcul de votre échéancier, vous devez nous indiquer si vous êtes une nouvelle famille ou la tranche de référence pour l'année scolaire 2016/2017.
</t>
        </r>
      </text>
    </comment>
    <comment ref="B44" authorId="0" shapeId="0">
      <text>
        <r>
          <rPr>
            <sz val="9"/>
            <color indexed="81"/>
            <rFont val="Tahoma"/>
            <family val="2"/>
          </rPr>
          <t xml:space="preserve">Attention, l'échéancier ne tiens pas compte de l'acquisition de TD et des transports pour se rendre durant l'année vers la piscine et les terrains de sports.
</t>
        </r>
      </text>
    </comment>
  </commentList>
</comments>
</file>

<file path=xl/sharedStrings.xml><?xml version="1.0" encoding="utf-8"?>
<sst xmlns="http://schemas.openxmlformats.org/spreadsheetml/2006/main" count="139" uniqueCount="68">
  <si>
    <t>Enfant 1</t>
  </si>
  <si>
    <t>Enfant 2</t>
  </si>
  <si>
    <t>Enfant 3</t>
  </si>
  <si>
    <t>Enfant 4</t>
  </si>
  <si>
    <t>Collège</t>
  </si>
  <si>
    <t>Ecole</t>
  </si>
  <si>
    <t>Inscription</t>
  </si>
  <si>
    <t>Ré-inscription</t>
  </si>
  <si>
    <t>Inscription / Ré-Inscription</t>
  </si>
  <si>
    <t>Salaires et assimilés avant réductions et abattements</t>
  </si>
  <si>
    <t>Base pour la détermination de la tranche</t>
  </si>
  <si>
    <t>Adhésion à l'A.P.E.L</t>
  </si>
  <si>
    <t>OUI</t>
  </si>
  <si>
    <t>NON</t>
  </si>
  <si>
    <t>Contributions scolaires annuelles avant remise</t>
  </si>
  <si>
    <t>Remise sur les contributions scolaires</t>
  </si>
  <si>
    <t>Pour les écoliers :</t>
  </si>
  <si>
    <t>1 - Extra-pédagogiques</t>
  </si>
  <si>
    <t>2 - Garderie du matin</t>
  </si>
  <si>
    <t>3 - Garderie du soir</t>
  </si>
  <si>
    <t>4 - 1 ou 2 études par semaine</t>
  </si>
  <si>
    <t>5 - 3 ou 4 études par semaine</t>
  </si>
  <si>
    <t>Caution prêt de livres</t>
  </si>
  <si>
    <t>Badge pour accéder à la restauration</t>
  </si>
  <si>
    <t>Coût Badge</t>
  </si>
  <si>
    <t>Coût 3 ou 4 études par semaine</t>
  </si>
  <si>
    <t>Coût garderie du soir</t>
  </si>
  <si>
    <t>Coût garderie du matin</t>
  </si>
  <si>
    <t>Coût adhésion à l'A.P.E.L</t>
  </si>
  <si>
    <t>Coût inscrption / Ré-Inscription</t>
  </si>
  <si>
    <t>Tranche</t>
  </si>
  <si>
    <t>Coût Total année</t>
  </si>
  <si>
    <t>è</t>
  </si>
  <si>
    <t xml:space="preserve"> </t>
  </si>
  <si>
    <t>Coût collègien adhésion à l'U.N.S.S</t>
  </si>
  <si>
    <t>Calcul de la scolarité pour 2017 2018</t>
  </si>
  <si>
    <t>Prestations familiales</t>
  </si>
  <si>
    <t xml:space="preserve">  </t>
  </si>
  <si>
    <t>Pour les collègiens :</t>
  </si>
  <si>
    <t>Cantine :</t>
  </si>
  <si>
    <t>2 repas</t>
  </si>
  <si>
    <t>3 repas</t>
  </si>
  <si>
    <t>4 repas</t>
  </si>
  <si>
    <t>5 repas</t>
  </si>
  <si>
    <t>Abonnement cantine (Nb de repas par semaine)</t>
  </si>
  <si>
    <t>Coût caution  prêt de livres</t>
  </si>
  <si>
    <t>Echéancier de l'année (hors frais d'achat de TD et de transports)</t>
  </si>
  <si>
    <t>Septembre</t>
  </si>
  <si>
    <t>Octobre</t>
  </si>
  <si>
    <t>Novembre</t>
  </si>
  <si>
    <t>Décembre</t>
  </si>
  <si>
    <t>Janvier</t>
  </si>
  <si>
    <t>Février</t>
  </si>
  <si>
    <t>Mars</t>
  </si>
  <si>
    <t>Avril</t>
  </si>
  <si>
    <t>Mai</t>
  </si>
  <si>
    <t>Juin</t>
  </si>
  <si>
    <t>Tranche lors de l'année scolaire 2016/2017</t>
  </si>
  <si>
    <t>Entre T1 et T5</t>
  </si>
  <si>
    <t>Entre T6 et T10</t>
  </si>
  <si>
    <t>Entre T11 et T15</t>
  </si>
  <si>
    <t>Nouveau en 2017/2018</t>
  </si>
  <si>
    <t>Inscription/Ré-Inscription</t>
  </si>
  <si>
    <t>Coût abonnement cantine</t>
  </si>
  <si>
    <t>Nom de famille :</t>
  </si>
  <si>
    <t>FAITES VOTRE SAISIE UNIQUEMENT DANS LES CASES GRISES (En passant sur les flèches, vous trouverez des commentaires)</t>
  </si>
  <si>
    <t>Coût 1 ou 2 études par semaine</t>
  </si>
  <si>
    <t>Positionner vos enfants du plus grand au plus petit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</si>
</sst>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5" x14ac:knownFonts="1">
    <font>
      <sz val="11"/>
      <color theme="1"/>
      <name val="Calibri"/>
      <family val="2"/>
      <scheme val="minor"/>
    </font>
    <font>
      <sz val="11"/>
      <color indexed="8"/>
      <name val="Calibri"/>
      <family val="2"/>
    </font>
    <font>
      <sz val="11"/>
      <name val="Calibri"/>
      <family val="2"/>
    </font>
    <font>
      <b/>
      <sz val="14"/>
      <color indexed="8"/>
      <name val="Calibri"/>
      <family val="2"/>
    </font>
    <font>
      <b/>
      <sz val="11"/>
      <color indexed="10"/>
      <name val="Wingdings"/>
      <charset val="2"/>
    </font>
    <font>
      <b/>
      <sz val="11"/>
      <name val="Wingdings"/>
      <charset val="2"/>
    </font>
    <font>
      <b/>
      <sz val="11"/>
      <color indexed="30"/>
      <name val="Calibri"/>
      <family val="2"/>
    </font>
    <font>
      <b/>
      <sz val="10"/>
      <color indexed="8"/>
      <name val="Calibri"/>
    </font>
    <font>
      <sz val="11"/>
      <color theme="1"/>
      <name val="Calibri"/>
      <family val="2"/>
      <scheme val="minor"/>
    </font>
    <font>
      <sz val="11"/>
      <color theme="1"/>
      <name val="Calibri"/>
      <family val="2"/>
    </font>
    <font>
      <b/>
      <sz val="11"/>
      <color rgb="FF7030A0"/>
      <name val="Calibri"/>
      <family val="2"/>
      <scheme val="minor"/>
    </font>
    <font>
      <b/>
      <i/>
      <sz val="11"/>
      <color rgb="FF7030A0"/>
      <name val="Calibri"/>
      <family val="2"/>
      <scheme val="minor"/>
    </font>
    <font>
      <b/>
      <sz val="11"/>
      <color theme="4" tint="-0.249977111117893"/>
      <name val="Calibri"/>
      <family val="2"/>
      <scheme val="minor"/>
    </font>
    <font>
      <b/>
      <i/>
      <sz val="11"/>
      <color theme="4" tint="-0.249977111117893"/>
      <name val="Calibri"/>
      <family val="2"/>
      <scheme val="minor"/>
    </font>
    <font>
      <b/>
      <sz val="11"/>
      <color theme="9" tint="-0.249977111117893"/>
      <name val="Calibri"/>
      <family val="2"/>
      <scheme val="minor"/>
    </font>
    <font>
      <b/>
      <sz val="11"/>
      <color theme="9" tint="-0.499984740745262"/>
      <name val="Calibri"/>
      <family val="2"/>
      <scheme val="minor"/>
    </font>
    <font>
      <b/>
      <sz val="10"/>
      <color rgb="FFFF0000"/>
      <name val="Calibri"/>
      <family val="2"/>
    </font>
    <font>
      <b/>
      <sz val="11"/>
      <color rgb="FFC00000"/>
      <name val="Calibri"/>
      <family val="2"/>
      <scheme val="minor"/>
    </font>
    <font>
      <b/>
      <i/>
      <sz val="11"/>
      <color rgb="FFC00000"/>
      <name val="Calibri"/>
      <family val="2"/>
      <scheme val="minor"/>
    </font>
    <font>
      <b/>
      <sz val="14"/>
      <name val="Calibri"/>
      <family val="2"/>
    </font>
    <font>
      <b/>
      <sz val="11"/>
      <color rgb="FFFF0000"/>
      <name val="Calibri"/>
      <family val="2"/>
    </font>
    <font>
      <b/>
      <sz val="11"/>
      <name val="Calibri"/>
      <family val="2"/>
    </font>
    <font>
      <b/>
      <i/>
      <sz val="11"/>
      <name val="Calibri"/>
      <family val="2"/>
    </font>
    <font>
      <sz val="9"/>
      <color indexed="81"/>
      <name val="Tahoma"/>
      <charset val="1"/>
    </font>
    <font>
      <sz val="9"/>
      <color indexed="81"/>
      <name val="Tahoma"/>
      <family val="2"/>
    </font>
  </fonts>
  <fills count="8">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0" xfId="0" applyFill="1"/>
    <xf numFmtId="44" fontId="2" fillId="0" borderId="0" xfId="1" applyFont="1" applyFill="1" applyAlignment="1">
      <alignment horizontal="right"/>
    </xf>
    <xf numFmtId="0" fontId="4" fillId="0" borderId="0" xfId="0" applyFont="1" applyFill="1"/>
    <xf numFmtId="0" fontId="5" fillId="0" borderId="0" xfId="0" applyFont="1" applyFill="1"/>
    <xf numFmtId="0" fontId="3" fillId="0" borderId="0" xfId="0" applyFont="1" applyAlignment="1">
      <alignment horizontal="center"/>
    </xf>
    <xf numFmtId="44" fontId="8" fillId="0" borderId="0" xfId="1" applyFont="1" applyAlignment="1">
      <alignment horizontal="right"/>
    </xf>
    <xf numFmtId="44" fontId="8" fillId="0" borderId="0" xfId="1" applyFont="1" applyFill="1" applyAlignment="1">
      <alignment horizontal="right"/>
    </xf>
    <xf numFmtId="44" fontId="8" fillId="0" borderId="1" xfId="1" applyFont="1" applyBorder="1" applyAlignment="1">
      <alignment horizontal="right"/>
    </xf>
    <xf numFmtId="0" fontId="9" fillId="0" borderId="0" xfId="0" applyFont="1" applyFill="1" applyAlignment="1">
      <alignment horizontal="right"/>
    </xf>
    <xf numFmtId="0" fontId="0" fillId="0" borderId="0" xfId="0" applyFill="1" applyAlignment="1">
      <alignment horizontal="right"/>
    </xf>
    <xf numFmtId="0" fontId="10" fillId="2" borderId="0" xfId="0" applyFont="1" applyFill="1" applyAlignment="1">
      <alignment horizontal="right"/>
    </xf>
    <xf numFmtId="0" fontId="11" fillId="0" borderId="0" xfId="0" applyFont="1" applyFill="1" applyAlignment="1">
      <alignment horizontal="right"/>
    </xf>
    <xf numFmtId="0" fontId="6" fillId="0" borderId="0" xfId="0" applyFont="1" applyFill="1" applyAlignment="1">
      <alignment horizontal="center"/>
    </xf>
    <xf numFmtId="0" fontId="13" fillId="0" borderId="0" xfId="0" applyFont="1" applyFill="1" applyAlignment="1">
      <alignment horizontal="right"/>
    </xf>
    <xf numFmtId="0" fontId="12" fillId="5" borderId="0" xfId="0" applyFont="1" applyFill="1" applyAlignment="1">
      <alignment horizontal="right"/>
    </xf>
    <xf numFmtId="0" fontId="15" fillId="6" borderId="0" xfId="0" applyFont="1" applyFill="1" applyAlignment="1">
      <alignment horizontal="right"/>
    </xf>
    <xf numFmtId="0" fontId="3" fillId="0" borderId="0" xfId="0" applyFont="1" applyAlignment="1"/>
    <xf numFmtId="0" fontId="16" fillId="0" borderId="5" xfId="0" applyFont="1" applyBorder="1" applyAlignment="1">
      <alignment horizontal="center"/>
    </xf>
    <xf numFmtId="0" fontId="17" fillId="3" borderId="0" xfId="0" applyFont="1" applyFill="1" applyAlignment="1">
      <alignment horizontal="right"/>
    </xf>
    <xf numFmtId="0" fontId="18" fillId="0" borderId="0" xfId="0" applyFont="1" applyFill="1" applyAlignment="1">
      <alignment horizontal="right"/>
    </xf>
    <xf numFmtId="0" fontId="3" fillId="0" borderId="0" xfId="0" applyFont="1" applyBorder="1" applyAlignment="1">
      <alignment horizontal="right"/>
    </xf>
    <xf numFmtId="0" fontId="2" fillId="0" borderId="0" xfId="0" applyFont="1" applyFill="1" applyAlignment="1">
      <alignment horizontal="right"/>
    </xf>
    <xf numFmtId="44" fontId="2" fillId="0" borderId="0" xfId="1" applyFont="1" applyFill="1" applyAlignment="1">
      <alignment horizontal="center"/>
    </xf>
    <xf numFmtId="0" fontId="22" fillId="0" borderId="0" xfId="0" applyFont="1" applyFill="1" applyBorder="1" applyAlignment="1">
      <alignment horizontal="right" vertical="center"/>
    </xf>
    <xf numFmtId="44" fontId="0" fillId="0" borderId="6" xfId="1" applyFont="1" applyFill="1" applyBorder="1" applyAlignment="1"/>
    <xf numFmtId="44" fontId="8" fillId="0" borderId="7" xfId="1" applyFont="1" applyFill="1" applyBorder="1" applyAlignment="1">
      <alignment horizontal="right"/>
    </xf>
    <xf numFmtId="44" fontId="8" fillId="0" borderId="8" xfId="1" applyFont="1" applyFill="1" applyBorder="1" applyAlignment="1">
      <alignment horizontal="right"/>
    </xf>
    <xf numFmtId="44" fontId="0" fillId="0" borderId="9" xfId="1" applyFont="1" applyFill="1" applyBorder="1" applyAlignment="1"/>
    <xf numFmtId="44" fontId="8" fillId="0" borderId="0" xfId="1" applyFont="1" applyFill="1" applyBorder="1" applyAlignment="1">
      <alignment horizontal="right"/>
    </xf>
    <xf numFmtId="44" fontId="8" fillId="0" borderId="10" xfId="1" applyFont="1" applyFill="1" applyBorder="1" applyAlignment="1">
      <alignment horizontal="right"/>
    </xf>
    <xf numFmtId="44" fontId="0" fillId="0" borderId="11" xfId="1" applyFont="1" applyFill="1" applyBorder="1" applyAlignment="1"/>
    <xf numFmtId="44" fontId="8" fillId="0" borderId="5" xfId="1" applyFont="1" applyFill="1" applyBorder="1" applyAlignment="1">
      <alignment horizontal="right"/>
    </xf>
    <xf numFmtId="44" fontId="8" fillId="0" borderId="12" xfId="1" applyFont="1" applyFill="1" applyBorder="1" applyAlignment="1">
      <alignment horizontal="right"/>
    </xf>
    <xf numFmtId="0" fontId="19" fillId="0" borderId="0" xfId="0" applyFont="1" applyFill="1" applyAlignment="1"/>
    <xf numFmtId="0" fontId="0" fillId="0" borderId="0" xfId="0" applyFill="1" applyBorder="1" applyAlignment="1">
      <alignment horizontal="right"/>
    </xf>
    <xf numFmtId="44" fontId="8" fillId="4" borderId="0" xfId="1" applyFont="1" applyFill="1" applyAlignment="1" applyProtection="1">
      <alignment horizontal="right"/>
      <protection locked="0"/>
    </xf>
    <xf numFmtId="44" fontId="8" fillId="4" borderId="1" xfId="1" applyFont="1" applyFill="1" applyBorder="1" applyAlignment="1" applyProtection="1">
      <alignment horizontal="right"/>
      <protection locked="0"/>
    </xf>
    <xf numFmtId="44" fontId="0" fillId="4" borderId="1" xfId="1" applyFont="1" applyFill="1" applyBorder="1" applyAlignment="1" applyProtection="1">
      <alignment horizontal="right"/>
      <protection locked="0"/>
    </xf>
    <xf numFmtId="0" fontId="4" fillId="0" borderId="0" xfId="0" applyFont="1" applyFill="1" applyProtection="1">
      <protection locked="0"/>
    </xf>
    <xf numFmtId="0" fontId="5" fillId="0" borderId="0" xfId="0" applyFont="1" applyFill="1" applyProtection="1">
      <protection locked="0"/>
    </xf>
    <xf numFmtId="0" fontId="16" fillId="0" borderId="0" xfId="0" applyFont="1" applyBorder="1" applyAlignment="1">
      <alignment horizontal="center"/>
    </xf>
    <xf numFmtId="0" fontId="20" fillId="0" borderId="0" xfId="0" applyFont="1" applyFill="1" applyBorder="1" applyAlignment="1">
      <alignment horizontal="center"/>
    </xf>
    <xf numFmtId="0" fontId="21" fillId="7" borderId="2" xfId="0" applyFont="1" applyFill="1" applyBorder="1" applyAlignment="1">
      <alignment horizontal="center"/>
    </xf>
    <xf numFmtId="0" fontId="21" fillId="7" borderId="3" xfId="0" applyFont="1" applyFill="1" applyBorder="1" applyAlignment="1">
      <alignment horizontal="center"/>
    </xf>
    <xf numFmtId="0" fontId="21" fillId="7" borderId="4" xfId="0" applyFont="1" applyFill="1" applyBorder="1" applyAlignment="1">
      <alignment horizontal="center"/>
    </xf>
    <xf numFmtId="44" fontId="2" fillId="0" borderId="0" xfId="1" applyFont="1" applyFill="1" applyAlignment="1">
      <alignment horizontal="center"/>
    </xf>
    <xf numFmtId="44" fontId="14" fillId="0" borderId="0" xfId="1" applyFont="1" applyFill="1" applyAlignment="1">
      <alignment horizontal="center"/>
    </xf>
    <xf numFmtId="0" fontId="7" fillId="4" borderId="1" xfId="0" applyFont="1" applyFill="1" applyBorder="1" applyAlignment="1" applyProtection="1">
      <alignment horizontal="center"/>
      <protection locked="0"/>
    </xf>
    <xf numFmtId="44" fontId="8" fillId="4" borderId="1" xfId="1" applyFont="1" applyFill="1" applyBorder="1" applyAlignment="1" applyProtection="1">
      <alignment horizontal="right"/>
      <protection locked="0"/>
    </xf>
    <xf numFmtId="44" fontId="8" fillId="0" borderId="0" xfId="1" applyFont="1" applyAlignment="1">
      <alignment horizontal="right"/>
    </xf>
    <xf numFmtId="44" fontId="8" fillId="4" borderId="2" xfId="1" applyFont="1" applyFill="1" applyBorder="1" applyAlignment="1" applyProtection="1">
      <alignment horizontal="center"/>
      <protection locked="0"/>
    </xf>
    <xf numFmtId="44" fontId="8" fillId="4" borderId="3" xfId="1" applyFont="1" applyFill="1" applyBorder="1" applyAlignment="1" applyProtection="1">
      <alignment horizontal="center"/>
      <protection locked="0"/>
    </xf>
    <xf numFmtId="44" fontId="8" fillId="4" borderId="4" xfId="1" applyFont="1" applyFill="1" applyBorder="1" applyAlignment="1" applyProtection="1">
      <alignment horizontal="center"/>
      <protection locked="0"/>
    </xf>
    <xf numFmtId="44" fontId="8" fillId="0" borderId="0" xfId="1" applyFont="1" applyFill="1" applyAlignment="1">
      <alignment horizontal="right"/>
    </xf>
  </cellXfs>
  <cellStyles count="2">
    <cellStyle name="Monétaire" xfId="1" builtinId="4"/>
    <cellStyle name="Normal" xfId="0" builtinId="0"/>
  </cellStyles>
  <dxfs count="21">
    <dxf>
      <font>
        <b/>
        <i val="0"/>
        <color rgb="FFC00000"/>
      </font>
      <fill>
        <patternFill>
          <bgColor theme="4" tint="0.79998168889431442"/>
        </patternFill>
      </fill>
    </dxf>
    <dxf>
      <font>
        <b/>
        <i val="0"/>
        <color rgb="FFC00000"/>
      </font>
      <fill>
        <patternFill>
          <bgColor theme="4" tint="0.79998168889431442"/>
        </patternFill>
      </fill>
    </dxf>
    <dxf>
      <font>
        <b/>
        <i val="0"/>
        <color rgb="FFC00000"/>
      </font>
      <fill>
        <patternFill>
          <bgColor theme="4" tint="0.79998168889431442"/>
        </patternFill>
      </fill>
    </dxf>
    <dxf>
      <font>
        <b/>
        <i val="0"/>
        <color rgb="FFC00000"/>
      </font>
      <fill>
        <patternFill>
          <bgColor theme="4" tint="0.79998168889431442"/>
        </patternFill>
      </fill>
    </dxf>
    <dxf>
      <font>
        <b/>
        <i val="0"/>
        <color rgb="FF7030A0"/>
      </font>
      <fill>
        <patternFill>
          <bgColor theme="5" tint="0.59996337778862885"/>
        </patternFill>
      </fill>
    </dxf>
    <dxf>
      <font>
        <b/>
        <i val="0"/>
        <color theme="9" tint="-0.499984740745262"/>
      </font>
      <fill>
        <patternFill>
          <bgColor theme="9" tint="0.79998168889431442"/>
        </patternFill>
      </fill>
    </dxf>
    <dxf>
      <font>
        <b/>
        <i val="0"/>
        <color theme="9" tint="-0.499984740745262"/>
      </font>
      <fill>
        <patternFill>
          <bgColor theme="9" tint="0.79998168889431442"/>
        </patternFill>
      </fill>
    </dxf>
    <dxf>
      <font>
        <b/>
        <i val="0"/>
        <color theme="9" tint="-0.499984740745262"/>
      </font>
      <fill>
        <patternFill>
          <bgColor theme="9" tint="0.79998168889431442"/>
        </patternFill>
      </fill>
    </dxf>
    <dxf>
      <font>
        <b/>
        <i val="0"/>
        <color rgb="FF7030A0"/>
      </font>
      <fill>
        <patternFill>
          <bgColor theme="5" tint="0.59996337778862885"/>
        </patternFill>
      </fill>
    </dxf>
    <dxf>
      <font>
        <b/>
        <i val="0"/>
        <color rgb="FF7030A0"/>
      </font>
      <fill>
        <patternFill>
          <bgColor theme="5"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b/>
        <i val="0"/>
        <color theme="4" tint="-0.24994659260841701"/>
      </font>
      <fill>
        <patternFill>
          <bgColor theme="7" tint="0.59996337778862885"/>
        </patternFill>
      </fill>
    </dxf>
    <dxf>
      <font>
        <color theme="4"/>
      </font>
      <fill>
        <patternFill>
          <bgColor theme="7" tint="0.59996337778862885"/>
        </patternFill>
      </fill>
    </dxf>
    <dxf>
      <font>
        <b/>
        <i val="0"/>
        <color theme="4" tint="-0.24994659260841701"/>
      </font>
      <fill>
        <patternFill>
          <bgColor theme="7" tint="0.59996337778862885"/>
        </patternFill>
      </fill>
    </dxf>
  </dxfs>
  <tableStyles count="0" defaultTableStyle="TableStyleMedium2" defaultPivotStyle="PivotStyleLight16"/>
  <colors>
    <mruColors>
      <color rgb="FFFFCCFF"/>
      <color rgb="FFCC66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3"/>
  <sheetViews>
    <sheetView showGridLines="0" tabSelected="1" topLeftCell="A27" zoomScaleNormal="100" workbookViewId="0">
      <selection activeCell="B37" sqref="B37"/>
    </sheetView>
  </sheetViews>
  <sheetFormatPr baseColWidth="10" defaultRowHeight="15" x14ac:dyDescent="0.25"/>
  <cols>
    <col min="1" max="1" width="49.7109375" customWidth="1"/>
    <col min="2" max="2" width="5.7109375" style="1" customWidth="1"/>
    <col min="3" max="6" width="15.7109375" style="6" customWidth="1"/>
    <col min="7" max="25" width="3.7109375" hidden="1" customWidth="1"/>
    <col min="26" max="26" width="10.7109375" hidden="1" customWidth="1"/>
    <col min="27" max="48" width="10.7109375" customWidth="1"/>
  </cols>
  <sheetData>
    <row r="1" spans="1:22" ht="18.75" x14ac:dyDescent="0.3">
      <c r="A1" s="5" t="s">
        <v>35</v>
      </c>
      <c r="B1" s="17"/>
      <c r="C1" s="41" t="str">
        <f>J6</f>
        <v/>
      </c>
      <c r="D1" s="41"/>
      <c r="E1" s="41"/>
      <c r="F1" s="41"/>
    </row>
    <row r="2" spans="1:22" ht="15" customHeight="1" x14ac:dyDescent="0.25">
      <c r="A2" s="42" t="s">
        <v>65</v>
      </c>
      <c r="B2" s="42"/>
      <c r="C2" s="42"/>
      <c r="D2" s="42"/>
      <c r="E2" s="42"/>
      <c r="F2" s="42"/>
    </row>
    <row r="3" spans="1:22" ht="5.0999999999999996" customHeight="1" x14ac:dyDescent="0.3">
      <c r="A3" s="5"/>
      <c r="B3" s="17"/>
      <c r="C3" s="18"/>
      <c r="D3" s="18"/>
      <c r="E3" s="18"/>
      <c r="F3" s="18"/>
    </row>
    <row r="4" spans="1:22" ht="18.75" x14ac:dyDescent="0.3">
      <c r="A4" s="21" t="s">
        <v>64</v>
      </c>
      <c r="B4" s="3" t="s">
        <v>32</v>
      </c>
      <c r="C4" s="48"/>
      <c r="D4" s="48"/>
      <c r="E4" s="48"/>
      <c r="F4" s="48"/>
    </row>
    <row r="5" spans="1:22" ht="15" customHeight="1" x14ac:dyDescent="0.3">
      <c r="A5" s="5"/>
      <c r="C5" s="8" t="s">
        <v>0</v>
      </c>
      <c r="D5" s="8" t="s">
        <v>1</v>
      </c>
      <c r="E5" s="8" t="s">
        <v>2</v>
      </c>
      <c r="F5" s="8" t="s">
        <v>3</v>
      </c>
    </row>
    <row r="6" spans="1:22" ht="15" customHeight="1" x14ac:dyDescent="0.25">
      <c r="A6" s="9" t="s">
        <v>67</v>
      </c>
      <c r="B6" s="39" t="s">
        <v>32</v>
      </c>
      <c r="C6" s="38" t="s">
        <v>4</v>
      </c>
      <c r="D6" s="37" t="s">
        <v>5</v>
      </c>
      <c r="E6" s="37"/>
      <c r="F6" s="37"/>
      <c r="H6">
        <f>IF(C6="",0,I6)</f>
        <v>2</v>
      </c>
      <c r="I6">
        <f>IF(C6="Collège",2,1)</f>
        <v>2</v>
      </c>
      <c r="J6" t="str">
        <f>IF(I8&gt;I6,"ERREUR, vous devez ranger les enfants dans l'ordre décroissant, merci.",J8)</f>
        <v/>
      </c>
    </row>
    <row r="7" spans="1:22" ht="15" hidden="1" customHeight="1" x14ac:dyDescent="0.25">
      <c r="A7" s="13"/>
      <c r="B7" s="3"/>
      <c r="C7" s="36">
        <f>IF(C6="",0,1)</f>
        <v>1</v>
      </c>
      <c r="D7" s="36">
        <f>IF(D6="",0,1)</f>
        <v>1</v>
      </c>
      <c r="E7" s="36">
        <f>IF(E6="",0,1)</f>
        <v>0</v>
      </c>
      <c r="F7" s="36">
        <f>IF(F6="",0,1)</f>
        <v>0</v>
      </c>
    </row>
    <row r="8" spans="1:22" ht="15" customHeight="1" x14ac:dyDescent="0.25">
      <c r="A8" s="10" t="s">
        <v>9</v>
      </c>
      <c r="B8" s="39" t="s">
        <v>32</v>
      </c>
      <c r="C8" s="49">
        <v>0</v>
      </c>
      <c r="D8" s="49"/>
      <c r="E8" s="49"/>
      <c r="F8" s="49"/>
      <c r="H8">
        <f>IF(D6="",0,I8)</f>
        <v>1</v>
      </c>
      <c r="I8">
        <f>IF(D6="Collège",2,1)</f>
        <v>1</v>
      </c>
      <c r="J8" t="str">
        <f>IF(I9&gt;I8,"ERREUR, vous devez ranger les enfants dans l'ordre décroissant, merci.",J9)</f>
        <v/>
      </c>
    </row>
    <row r="9" spans="1:22" ht="15" customHeight="1" x14ac:dyDescent="0.25">
      <c r="A9" s="10" t="s">
        <v>36</v>
      </c>
      <c r="B9" s="39" t="s">
        <v>32</v>
      </c>
      <c r="C9" s="49">
        <v>0</v>
      </c>
      <c r="D9" s="49"/>
      <c r="E9" s="49"/>
      <c r="F9" s="49"/>
      <c r="H9">
        <f>IF(E6="",0,I9)</f>
        <v>0</v>
      </c>
      <c r="I9">
        <f>IF(E6="Collège",2,1)</f>
        <v>1</v>
      </c>
      <c r="J9" t="str">
        <f>IF(I10&gt;I9,"ERREUR, vous devez ranger les enfants dans l'ordre décroissant, merci.","")</f>
        <v/>
      </c>
    </row>
    <row r="10" spans="1:22" ht="15" customHeight="1" x14ac:dyDescent="0.25">
      <c r="A10" s="35" t="s">
        <v>10</v>
      </c>
      <c r="B10" s="4" t="s">
        <v>32</v>
      </c>
      <c r="C10" s="50">
        <f>C8/12+C9</f>
        <v>0</v>
      </c>
      <c r="D10" s="50"/>
      <c r="E10" s="50"/>
      <c r="F10" s="50"/>
      <c r="H10">
        <f>IF(F6="",0,I10)</f>
        <v>0</v>
      </c>
      <c r="I10">
        <f>IF(F6="Collège",2,1)</f>
        <v>1</v>
      </c>
    </row>
    <row r="11" spans="1:22" ht="15" customHeight="1" x14ac:dyDescent="0.25">
      <c r="A11" s="35" t="s">
        <v>30</v>
      </c>
      <c r="B11" s="4" t="s">
        <v>32</v>
      </c>
      <c r="C11" s="50" t="str">
        <f>IF(C10&lt;850,"T1",G11)</f>
        <v>T1</v>
      </c>
      <c r="D11" s="50"/>
      <c r="E11" s="50"/>
      <c r="F11" s="50"/>
      <c r="G11" t="str">
        <f>IF(C10&lt;1135,"T2",H11)</f>
        <v>T2</v>
      </c>
      <c r="H11" t="str">
        <f>IF(C10&lt;1420,"T3",I11)</f>
        <v>T3</v>
      </c>
      <c r="I11" t="str">
        <f>IF(C10&lt;1705,"T4",J11)</f>
        <v>T4</v>
      </c>
      <c r="J11" t="str">
        <f>IF(C10&lt;1990,"T5",K11)</f>
        <v>T5</v>
      </c>
      <c r="K11" t="str">
        <f>IF(C10&lt;2275,"T6",L11)</f>
        <v>T6</v>
      </c>
      <c r="L11" t="str">
        <f>IF(C10&lt;2560,"T7",M11)</f>
        <v>T7</v>
      </c>
      <c r="M11" t="str">
        <f>IF(C10&lt;2845,"T8",N11)</f>
        <v>T8</v>
      </c>
      <c r="N11" t="str">
        <f>IF(C10&lt;3130,"T9",O11)</f>
        <v>T9</v>
      </c>
      <c r="O11" t="str">
        <f>IF(C10&lt;3415,"T10",P11)</f>
        <v>T10</v>
      </c>
      <c r="P11" t="str">
        <f>IF(C10&lt;3700,"T11",Q11)</f>
        <v>T11</v>
      </c>
      <c r="Q11" t="str">
        <f>IF(C10&lt;3985,"T12",R11)</f>
        <v>T12</v>
      </c>
      <c r="R11" t="str">
        <f>IF(C10&lt;4270,"T13",S11)</f>
        <v>T13</v>
      </c>
      <c r="S11" t="str">
        <f>IF(C10&lt;4555,"T14",T11)</f>
        <v>T14</v>
      </c>
      <c r="T11">
        <f>IF(C10&gt;4555,"T15",0)</f>
        <v>0</v>
      </c>
    </row>
    <row r="12" spans="1:22" ht="15" customHeight="1" x14ac:dyDescent="0.25">
      <c r="A12" s="35" t="s">
        <v>8</v>
      </c>
      <c r="B12" s="39" t="s">
        <v>32</v>
      </c>
      <c r="C12" s="37"/>
      <c r="D12" s="37"/>
      <c r="E12" s="37"/>
      <c r="F12" s="37"/>
    </row>
    <row r="13" spans="1:22" ht="15" customHeight="1" x14ac:dyDescent="0.25">
      <c r="A13" s="10" t="s">
        <v>29</v>
      </c>
      <c r="B13" s="4" t="s">
        <v>32</v>
      </c>
      <c r="C13" s="6">
        <f>IF(C6="","",H13)</f>
        <v>0</v>
      </c>
      <c r="D13" s="6">
        <f>IF(D6="","",I13)</f>
        <v>0</v>
      </c>
      <c r="E13" s="6" t="str">
        <f>IF(E6="","",J13)</f>
        <v/>
      </c>
      <c r="F13" s="6" t="str">
        <f>IF(F6="","",K13)</f>
        <v/>
      </c>
      <c r="G13">
        <f>IF(C12="Ré-inscription",25,0)</f>
        <v>0</v>
      </c>
      <c r="H13" s="7">
        <f>IF(C12="Inscription",40,G13)</f>
        <v>0</v>
      </c>
      <c r="I13" s="7">
        <f>IF(D12="Inscription",40,G14)</f>
        <v>0</v>
      </c>
      <c r="J13" s="7">
        <f>IF(E12="Inscription",40,H14)</f>
        <v>0</v>
      </c>
      <c r="K13" s="7">
        <f>IF(F12="Inscription",40,I14)</f>
        <v>0</v>
      </c>
    </row>
    <row r="14" spans="1:22" ht="15" customHeight="1" x14ac:dyDescent="0.25">
      <c r="A14" s="10" t="s">
        <v>11</v>
      </c>
      <c r="B14" s="39" t="s">
        <v>32</v>
      </c>
      <c r="C14" s="51"/>
      <c r="D14" s="52"/>
      <c r="E14" s="52"/>
      <c r="F14" s="53"/>
      <c r="G14">
        <f>IF(D12="Ré-inscription",25,0)</f>
        <v>0</v>
      </c>
      <c r="H14">
        <f>IF(E12="Ré-inscription",25,0)</f>
        <v>0</v>
      </c>
      <c r="I14">
        <f>IF(F12="Ré-inscription",25,0)</f>
        <v>0</v>
      </c>
    </row>
    <row r="15" spans="1:22" ht="15" customHeight="1" x14ac:dyDescent="0.25">
      <c r="A15" s="10" t="s">
        <v>28</v>
      </c>
      <c r="B15" s="4" t="s">
        <v>32</v>
      </c>
      <c r="C15" s="54">
        <f>IF(C14="OUI",20,0)</f>
        <v>0</v>
      </c>
      <c r="D15" s="54"/>
      <c r="E15" s="54"/>
      <c r="F15" s="54"/>
    </row>
    <row r="16" spans="1:22" ht="15" customHeight="1" x14ac:dyDescent="0.25">
      <c r="A16" s="10" t="s">
        <v>14</v>
      </c>
      <c r="B16" s="4" t="s">
        <v>32</v>
      </c>
      <c r="C16" s="7">
        <f>IF(C6="Ecole",H16,G17)</f>
        <v>362.5</v>
      </c>
      <c r="D16" s="7">
        <f>IF(D6="Ecole",H16,G21)</f>
        <v>260</v>
      </c>
      <c r="E16" s="7">
        <f>IF(E6="Ecole",H16,G22)</f>
        <v>0</v>
      </c>
      <c r="F16" s="7">
        <f>IF(F6="Ecole",H16,G23)</f>
        <v>0</v>
      </c>
      <c r="H16">
        <f>IF(C11="T1",260,I16)</f>
        <v>260</v>
      </c>
      <c r="I16">
        <f>IF(C11="T2",340,J16)</f>
        <v>0</v>
      </c>
      <c r="J16">
        <f>IF(C11="T3",460,K16)</f>
        <v>0</v>
      </c>
      <c r="K16">
        <f>IF(C11="T4",510,L16)</f>
        <v>0</v>
      </c>
      <c r="L16">
        <f>IF(C11="T5",560,M16)</f>
        <v>0</v>
      </c>
      <c r="M16">
        <f>IF(C11="T6",610,N16)</f>
        <v>0</v>
      </c>
      <c r="N16">
        <f>IF(C11="T7",660,O16)</f>
        <v>0</v>
      </c>
      <c r="O16">
        <f>IF(C11="T8",710,P16)</f>
        <v>0</v>
      </c>
      <c r="P16">
        <f>IF(C11="T9",760,Q16)</f>
        <v>0</v>
      </c>
      <c r="Q16">
        <f>IF(C11="T10",810,R16)</f>
        <v>0</v>
      </c>
      <c r="R16">
        <f>IF(C11="T11",860,S16)</f>
        <v>0</v>
      </c>
      <c r="S16">
        <f>IF(C11="T12",910,T16)</f>
        <v>0</v>
      </c>
      <c r="T16">
        <f>IF(C11="T13",960,U16)</f>
        <v>0</v>
      </c>
      <c r="U16">
        <f>IF(C11="T14",1010,V16)</f>
        <v>0</v>
      </c>
      <c r="V16">
        <f>IF(C11="T15",1060,0)</f>
        <v>0</v>
      </c>
    </row>
    <row r="17" spans="1:24" ht="15" customHeight="1" x14ac:dyDescent="0.25">
      <c r="A17" s="16" t="s">
        <v>15</v>
      </c>
      <c r="B17" s="40" t="s">
        <v>32</v>
      </c>
      <c r="C17" s="47">
        <f>D18</f>
        <v>93.375</v>
      </c>
      <c r="D17" s="47"/>
      <c r="E17" s="47"/>
      <c r="F17" s="47"/>
      <c r="G17">
        <f>IF(C6="Collège",H17,0)</f>
        <v>362.5</v>
      </c>
      <c r="H17">
        <f>IF(C11="T1",362.5,I17)</f>
        <v>362.5</v>
      </c>
      <c r="I17">
        <f>IF(C11="T2",452.5,J17)</f>
        <v>0</v>
      </c>
      <c r="J17">
        <f>IF(C11="T3",582.5,K17)</f>
        <v>0</v>
      </c>
      <c r="K17">
        <f>IF(C11="T4",642.5,L17)</f>
        <v>0</v>
      </c>
      <c r="L17">
        <f>IF(C11="T5",702.5,M17)</f>
        <v>0</v>
      </c>
      <c r="M17">
        <f>IF(C11="T6",762.5,N17)</f>
        <v>0</v>
      </c>
      <c r="N17">
        <f>IF(C11="T7",822.5,O17)</f>
        <v>0</v>
      </c>
      <c r="O17">
        <f>IF(C11="T8",882.5,P17)</f>
        <v>0</v>
      </c>
      <c r="P17">
        <f>IF(C11="T9",942.5,Q17)</f>
        <v>0</v>
      </c>
      <c r="Q17">
        <f>IF(C11="T10",1002.5,R17)</f>
        <v>0</v>
      </c>
      <c r="R17">
        <f>IF(C11="T11",1062.5,S17)</f>
        <v>0</v>
      </c>
      <c r="S17">
        <f>IF(C11="T12",1122.5,T17)</f>
        <v>0</v>
      </c>
      <c r="T17">
        <f>IF(C11="T13",1182.5,U17)</f>
        <v>0</v>
      </c>
      <c r="U17">
        <f>IF(C11="T14",1242.5,V17)</f>
        <v>0</v>
      </c>
      <c r="V17">
        <f>IF(C11="T15",1302.5,0)</f>
        <v>0</v>
      </c>
    </row>
    <row r="18" spans="1:24" ht="15" hidden="1" customHeight="1" x14ac:dyDescent="0.25">
      <c r="A18" s="1"/>
      <c r="B18" s="4"/>
      <c r="C18" s="7"/>
      <c r="D18" s="7">
        <f>IF(D16=0,0,D20)</f>
        <v>93.375</v>
      </c>
      <c r="E18" s="7">
        <f>IF(E16=0,0,E20)</f>
        <v>0</v>
      </c>
      <c r="F18" s="7">
        <f>IF(F16=0,0,F20)</f>
        <v>0</v>
      </c>
    </row>
    <row r="19" spans="1:24" ht="15" hidden="1" customHeight="1" x14ac:dyDescent="0.25">
      <c r="A19" s="1"/>
      <c r="B19" s="4"/>
      <c r="C19" s="7"/>
      <c r="D19" s="7">
        <f>D16+1</f>
        <v>261</v>
      </c>
      <c r="E19" s="7">
        <f>E16+1</f>
        <v>1</v>
      </c>
      <c r="F19" s="7">
        <f>F16+1</f>
        <v>1</v>
      </c>
    </row>
    <row r="20" spans="1:24" ht="15" hidden="1" customHeight="1" x14ac:dyDescent="0.25">
      <c r="A20" s="1" t="s">
        <v>33</v>
      </c>
      <c r="B20" s="4" t="s">
        <v>33</v>
      </c>
      <c r="C20" s="7"/>
      <c r="D20" s="7">
        <f>IF(D16+2=D19+E19,SUM(C16:D16)*0.15,E20)</f>
        <v>93.375</v>
      </c>
      <c r="E20" s="7">
        <f>IF(E16+2=E19+F19,SUM(C16:E16)*0.2,F20)</f>
        <v>124.5</v>
      </c>
      <c r="F20" s="7">
        <f>IF(F16&gt;0,SUM(C16:F16)*0.2,0)</f>
        <v>0</v>
      </c>
    </row>
    <row r="21" spans="1:24" ht="15" customHeight="1" x14ac:dyDescent="0.25">
      <c r="A21" s="15" t="s">
        <v>16</v>
      </c>
      <c r="B21" s="4" t="s">
        <v>32</v>
      </c>
      <c r="C21" s="7"/>
      <c r="D21" s="7"/>
      <c r="E21" s="7"/>
      <c r="F21" s="7"/>
      <c r="G21">
        <f>IF(D6="Collège",H17,0)</f>
        <v>0</v>
      </c>
      <c r="H21" t="s">
        <v>33</v>
      </c>
      <c r="I21" t="s">
        <v>33</v>
      </c>
      <c r="J21" t="s">
        <v>33</v>
      </c>
      <c r="K21" t="s">
        <v>33</v>
      </c>
      <c r="L21" t="s">
        <v>33</v>
      </c>
      <c r="M21" t="s">
        <v>37</v>
      </c>
      <c r="N21" t="s">
        <v>33</v>
      </c>
      <c r="O21" t="s">
        <v>33</v>
      </c>
      <c r="P21" t="s">
        <v>33</v>
      </c>
      <c r="Q21" t="s">
        <v>33</v>
      </c>
      <c r="R21" t="s">
        <v>33</v>
      </c>
      <c r="S21" t="s">
        <v>33</v>
      </c>
      <c r="T21" t="s">
        <v>33</v>
      </c>
      <c r="U21" t="s">
        <v>33</v>
      </c>
      <c r="V21" t="s">
        <v>33</v>
      </c>
      <c r="W21" t="s">
        <v>33</v>
      </c>
      <c r="X21" t="s">
        <v>37</v>
      </c>
    </row>
    <row r="22" spans="1:24" ht="15" customHeight="1" x14ac:dyDescent="0.25">
      <c r="A22" s="14" t="s">
        <v>17</v>
      </c>
      <c r="B22" s="40" t="s">
        <v>32</v>
      </c>
      <c r="C22" s="7">
        <f>IF(C6="Ecole",48,0)</f>
        <v>0</v>
      </c>
      <c r="D22" s="7">
        <f>IF(D6="Ecole",48,0)</f>
        <v>48</v>
      </c>
      <c r="E22" s="7">
        <f>IF(E6="Ecole",48,0)</f>
        <v>0</v>
      </c>
      <c r="F22" s="7">
        <f>IF(F6="Ecole",48,0)</f>
        <v>0</v>
      </c>
      <c r="G22">
        <f>IF(E6="Collège",H17,0)</f>
        <v>0</v>
      </c>
    </row>
    <row r="23" spans="1:24" ht="15" customHeight="1" x14ac:dyDescent="0.25">
      <c r="A23" s="14" t="s">
        <v>18</v>
      </c>
      <c r="B23" s="39" t="s">
        <v>32</v>
      </c>
      <c r="C23" s="37"/>
      <c r="D23" s="37"/>
      <c r="E23" s="37"/>
      <c r="F23" s="37"/>
      <c r="G23">
        <f>IF(F6="Collège",H17,0)</f>
        <v>0</v>
      </c>
    </row>
    <row r="24" spans="1:24" ht="15" customHeight="1" x14ac:dyDescent="0.25">
      <c r="A24" s="14" t="s">
        <v>27</v>
      </c>
      <c r="B24" s="4" t="s">
        <v>32</v>
      </c>
      <c r="C24" s="6">
        <f>IF(C6="Ecole",H24,0)</f>
        <v>0</v>
      </c>
      <c r="D24" s="6">
        <f>IF(D6="Ecole",I24,0)</f>
        <v>0</v>
      </c>
      <c r="E24" s="6">
        <f>IF(E6="Ecole",J24,0)</f>
        <v>0</v>
      </c>
      <c r="F24" s="6">
        <f>IF(F6="Ecole",K24,0)</f>
        <v>0</v>
      </c>
      <c r="G24" t="s">
        <v>33</v>
      </c>
      <c r="H24" s="7">
        <f>IF(C23="OUI",140,0)</f>
        <v>0</v>
      </c>
      <c r="I24" s="7">
        <f>IF(D23="OUI",140,0)</f>
        <v>0</v>
      </c>
      <c r="J24" s="7">
        <f>IF(E23="OUI",140,0)</f>
        <v>0</v>
      </c>
      <c r="K24" s="7">
        <f>IF(F23="OUI",140,0)</f>
        <v>0</v>
      </c>
    </row>
    <row r="25" spans="1:24" ht="15" customHeight="1" x14ac:dyDescent="0.25">
      <c r="A25" s="14" t="s">
        <v>19</v>
      </c>
      <c r="B25" s="39" t="s">
        <v>32</v>
      </c>
      <c r="C25" s="37"/>
      <c r="D25" s="37"/>
      <c r="E25" s="37"/>
      <c r="F25" s="37"/>
    </row>
    <row r="26" spans="1:24" ht="15" customHeight="1" x14ac:dyDescent="0.25">
      <c r="A26" s="14" t="s">
        <v>26</v>
      </c>
      <c r="B26" s="4" t="s">
        <v>32</v>
      </c>
      <c r="C26" s="6">
        <f>IF(C6="Ecole",H26,0)</f>
        <v>0</v>
      </c>
      <c r="D26" s="6">
        <f>IF(D6="Ecole",I26,0)</f>
        <v>0</v>
      </c>
      <c r="E26" s="6">
        <f>IF(E6="Ecole",J26,0)</f>
        <v>0</v>
      </c>
      <c r="F26" s="6">
        <f>IF(F6="Ecole",K26,0)</f>
        <v>0</v>
      </c>
      <c r="H26" s="7">
        <f>IF(C25="OUI",140,0)</f>
        <v>0</v>
      </c>
      <c r="I26" s="7">
        <f>IF(D25="OUI",140,0)</f>
        <v>0</v>
      </c>
      <c r="J26" s="7">
        <f>IF(E25="OUI",140,0)</f>
        <v>0</v>
      </c>
      <c r="K26" s="7">
        <f>IF(F25="OUI",140,0)</f>
        <v>0</v>
      </c>
    </row>
    <row r="27" spans="1:24" ht="15" customHeight="1" x14ac:dyDescent="0.25">
      <c r="A27" s="14" t="s">
        <v>20</v>
      </c>
      <c r="B27" s="39" t="s">
        <v>32</v>
      </c>
      <c r="C27" s="37"/>
      <c r="D27" s="37"/>
      <c r="E27" s="37"/>
      <c r="F27" s="37"/>
    </row>
    <row r="28" spans="1:24" ht="15" customHeight="1" x14ac:dyDescent="0.25">
      <c r="A28" s="14" t="s">
        <v>66</v>
      </c>
      <c r="B28" s="4" t="s">
        <v>32</v>
      </c>
      <c r="C28" s="6">
        <f>IF(C6="Ecole",H28,0)</f>
        <v>0</v>
      </c>
      <c r="D28" s="6">
        <f>IF(D6="Ecole",I28,0)</f>
        <v>0</v>
      </c>
      <c r="E28" s="6">
        <f>IF(E6="Ecole",J28,0)</f>
        <v>0</v>
      </c>
      <c r="F28" s="6">
        <f>IF(F6="Ecole",K28,0)</f>
        <v>0</v>
      </c>
      <c r="H28" s="7">
        <f>IF(C27="OUI",70,0)</f>
        <v>0</v>
      </c>
      <c r="I28" s="7">
        <f>IF(D27="OUI",70,0)</f>
        <v>0</v>
      </c>
      <c r="J28" s="7">
        <f>IF(E27="OUI",70,0)</f>
        <v>0</v>
      </c>
      <c r="K28" s="7">
        <f>IF(F27="OUI",70,0)</f>
        <v>0</v>
      </c>
    </row>
    <row r="29" spans="1:24" ht="15" customHeight="1" x14ac:dyDescent="0.25">
      <c r="A29" s="14" t="s">
        <v>21</v>
      </c>
      <c r="B29" s="39" t="s">
        <v>32</v>
      </c>
      <c r="C29" s="37"/>
      <c r="D29" s="37"/>
      <c r="E29" s="37"/>
      <c r="F29" s="37"/>
    </row>
    <row r="30" spans="1:24" ht="15" customHeight="1" x14ac:dyDescent="0.25">
      <c r="A30" s="14" t="s">
        <v>25</v>
      </c>
      <c r="B30" s="4" t="s">
        <v>32</v>
      </c>
      <c r="C30" s="6">
        <f>IF(C6="Ecole",H30,0)</f>
        <v>0</v>
      </c>
      <c r="D30" s="6">
        <f>IF(D6="Ecole",I30,0)</f>
        <v>0</v>
      </c>
      <c r="E30" s="6">
        <f>IF(E6="Ecole",J30,0)</f>
        <v>0</v>
      </c>
      <c r="F30" s="6">
        <f>IF(F6="Ecole",K30,0)</f>
        <v>0</v>
      </c>
      <c r="H30" s="7">
        <f>IF(C29="OUI",140,0)</f>
        <v>0</v>
      </c>
      <c r="I30" s="7">
        <f>IF(D29="OUI",140,0)</f>
        <v>0</v>
      </c>
      <c r="J30" s="7">
        <f>IF(E29="OUI",140,0)</f>
        <v>0</v>
      </c>
      <c r="K30" s="7">
        <f>IF(F29="OUI",140,0)</f>
        <v>0</v>
      </c>
    </row>
    <row r="31" spans="1:24" ht="15" customHeight="1" x14ac:dyDescent="0.25">
      <c r="A31" s="11" t="s">
        <v>38</v>
      </c>
      <c r="B31" s="4" t="s">
        <v>32</v>
      </c>
      <c r="C31" s="7"/>
      <c r="D31" s="7"/>
      <c r="E31" s="7"/>
      <c r="F31" s="7"/>
      <c r="G31" t="s">
        <v>33</v>
      </c>
      <c r="H31" t="s">
        <v>33</v>
      </c>
      <c r="I31" t="s">
        <v>33</v>
      </c>
      <c r="J31" t="s">
        <v>33</v>
      </c>
      <c r="K31" t="s">
        <v>33</v>
      </c>
      <c r="L31" t="s">
        <v>33</v>
      </c>
      <c r="M31" t="s">
        <v>37</v>
      </c>
      <c r="N31" t="s">
        <v>33</v>
      </c>
      <c r="O31" t="s">
        <v>33</v>
      </c>
      <c r="P31" t="s">
        <v>33</v>
      </c>
      <c r="Q31" t="s">
        <v>33</v>
      </c>
      <c r="R31" t="s">
        <v>33</v>
      </c>
      <c r="S31" t="s">
        <v>33</v>
      </c>
      <c r="T31" t="s">
        <v>33</v>
      </c>
      <c r="U31" t="s">
        <v>33</v>
      </c>
      <c r="V31" t="s">
        <v>33</v>
      </c>
      <c r="W31" t="s">
        <v>33</v>
      </c>
      <c r="X31" t="s">
        <v>37</v>
      </c>
    </row>
    <row r="32" spans="1:24" ht="15" customHeight="1" x14ac:dyDescent="0.25">
      <c r="A32" s="12" t="s">
        <v>22</v>
      </c>
      <c r="B32" s="40" t="s">
        <v>32</v>
      </c>
      <c r="C32" s="7">
        <f>IF(C6="Collège",100,0)</f>
        <v>100</v>
      </c>
      <c r="D32" s="7">
        <f>IF(D6="Collège",100,0)</f>
        <v>0</v>
      </c>
      <c r="E32" s="7">
        <f>IF(E6="Collège",100,0)</f>
        <v>0</v>
      </c>
      <c r="F32" s="7">
        <f>IF(F6="Collège",100,0)</f>
        <v>0</v>
      </c>
    </row>
    <row r="33" spans="1:11" ht="15" customHeight="1" x14ac:dyDescent="0.25">
      <c r="A33" s="12" t="s">
        <v>34</v>
      </c>
      <c r="B33" s="4" t="s">
        <v>32</v>
      </c>
      <c r="C33" s="7">
        <f>IF(C6="Collège",5,0)</f>
        <v>5</v>
      </c>
      <c r="D33" s="7">
        <f>IF(D6="Collège",5,0)</f>
        <v>0</v>
      </c>
      <c r="E33" s="7">
        <f>IF(E6="Collège",5,0)</f>
        <v>0</v>
      </c>
      <c r="F33" s="7">
        <f>IF(F6="Collège",5,0)</f>
        <v>0</v>
      </c>
    </row>
    <row r="34" spans="1:11" ht="15" customHeight="1" x14ac:dyDescent="0.25">
      <c r="A34" s="12" t="s">
        <v>23</v>
      </c>
      <c r="B34" s="39" t="s">
        <v>32</v>
      </c>
      <c r="C34" s="37"/>
      <c r="D34" s="37"/>
      <c r="E34" s="37"/>
      <c r="F34" s="37"/>
    </row>
    <row r="35" spans="1:11" ht="15" customHeight="1" x14ac:dyDescent="0.25">
      <c r="A35" s="12" t="s">
        <v>24</v>
      </c>
      <c r="B35" s="4" t="s">
        <v>32</v>
      </c>
      <c r="C35" s="6">
        <f>IF(C6="Collège",H35,0)</f>
        <v>0</v>
      </c>
      <c r="D35" s="6">
        <f>IF(D6="Collège",I35,0)</f>
        <v>0</v>
      </c>
      <c r="E35" s="6">
        <f>IF(E6="Collège",J35,0)</f>
        <v>0</v>
      </c>
      <c r="F35" s="6">
        <f>IF(F6="Collège",K35,0)</f>
        <v>0</v>
      </c>
      <c r="H35" s="2">
        <f>IF(C34="OUI",10,0)</f>
        <v>0</v>
      </c>
      <c r="I35" s="2">
        <f>IF(D34="OUI",10,0)</f>
        <v>0</v>
      </c>
      <c r="J35" s="2">
        <f>IF(E34="OUI",10,0)</f>
        <v>0</v>
      </c>
      <c r="K35" s="2">
        <f>IF(F34="OUI",10,0)</f>
        <v>0</v>
      </c>
    </row>
    <row r="36" spans="1:11" ht="15" customHeight="1" x14ac:dyDescent="0.25">
      <c r="A36" s="19" t="s">
        <v>39</v>
      </c>
      <c r="B36" s="4" t="s">
        <v>32</v>
      </c>
      <c r="H36" s="2"/>
      <c r="I36" s="2"/>
      <c r="J36" s="2"/>
      <c r="K36" s="2"/>
    </row>
    <row r="37" spans="1:11" ht="15" customHeight="1" x14ac:dyDescent="0.25">
      <c r="A37" s="20" t="s">
        <v>44</v>
      </c>
      <c r="B37" s="39" t="s">
        <v>32</v>
      </c>
      <c r="C37" s="37"/>
      <c r="D37" s="37"/>
      <c r="E37" s="37"/>
      <c r="F37" s="37"/>
      <c r="H37" s="2"/>
      <c r="I37" s="2"/>
      <c r="J37" s="2"/>
      <c r="K37" s="2"/>
    </row>
    <row r="38" spans="1:11" ht="15" customHeight="1" x14ac:dyDescent="0.25">
      <c r="A38" s="20" t="s">
        <v>63</v>
      </c>
      <c r="B38" s="4" t="s">
        <v>32</v>
      </c>
      <c r="C38" s="6" t="str">
        <f>IF(C6="","",H39)</f>
        <v/>
      </c>
      <c r="D38" s="6" t="str">
        <f>IF(D6="","",H40)</f>
        <v/>
      </c>
      <c r="E38" s="6" t="str">
        <f>IF(E6="","",H41)</f>
        <v/>
      </c>
      <c r="F38" s="6" t="str">
        <f>IF(F6="","",H43)</f>
        <v/>
      </c>
      <c r="H38" s="2">
        <v>380</v>
      </c>
      <c r="I38" s="2">
        <v>550</v>
      </c>
      <c r="J38" s="2">
        <v>720</v>
      </c>
      <c r="K38" s="2">
        <v>880</v>
      </c>
    </row>
    <row r="39" spans="1:11" s="1" customFormat="1" ht="15" customHeight="1" x14ac:dyDescent="0.25">
      <c r="A39" s="22" t="s">
        <v>31</v>
      </c>
      <c r="B39" s="4" t="s">
        <v>32</v>
      </c>
      <c r="C39" s="46">
        <f>SUM(C13:F13)+C15+SUM(C16:F16)+SUM(C22:F22)+SUM(C24:F24)+SUM(C26:F26)+SUM(C28:F28)+SUM(C30:F30)+SUM(C33:F33)+SUM(C35:F35)+SUM(C38:F38)-C17</f>
        <v>582.125</v>
      </c>
      <c r="D39" s="46"/>
      <c r="E39" s="46"/>
      <c r="F39" s="46"/>
      <c r="H39" s="2" t="str">
        <f>IF(C37="2 repas",H38,I39)</f>
        <v/>
      </c>
      <c r="I39" s="2" t="str">
        <f>IF(C37="3 repas",I38,J39)</f>
        <v/>
      </c>
      <c r="J39" s="2" t="str">
        <f>IF(C37="4 repas",J38,K39)</f>
        <v/>
      </c>
      <c r="K39" s="2" t="str">
        <f>IF(C37="5 repas",K38,"")</f>
        <v/>
      </c>
    </row>
    <row r="40" spans="1:11" s="1" customFormat="1" ht="15" customHeight="1" x14ac:dyDescent="0.25">
      <c r="A40" s="22" t="s">
        <v>45</v>
      </c>
      <c r="B40" s="4" t="s">
        <v>32</v>
      </c>
      <c r="C40" s="23"/>
      <c r="D40" s="23"/>
      <c r="E40" s="23"/>
      <c r="F40" s="23">
        <f>SUM(C32:F32)</f>
        <v>100</v>
      </c>
      <c r="H40" s="2" t="str">
        <f>IF(D37="2 repas",H38,I40)</f>
        <v/>
      </c>
      <c r="I40" s="2" t="str">
        <f>IF(D37="3 repas",I38,J40)</f>
        <v/>
      </c>
      <c r="J40" s="2" t="str">
        <f>IF(D37="4 repas",J38,K40)</f>
        <v/>
      </c>
      <c r="K40" s="2" t="str">
        <f>IF(D37="5 repas",K38,"")</f>
        <v/>
      </c>
    </row>
    <row r="41" spans="1:11" ht="15" hidden="1" customHeight="1" x14ac:dyDescent="0.25">
      <c r="H41" s="2" t="str">
        <f>IF(E37="2 repas",H38,I41)</f>
        <v/>
      </c>
      <c r="I41" s="2" t="str">
        <f>IF(E37="3 repas",I38,J41)</f>
        <v/>
      </c>
      <c r="J41" s="2" t="str">
        <f>IF(E37="4 repas",J38,K41)</f>
        <v/>
      </c>
      <c r="K41" s="2" t="str">
        <f>IF(E37="5 repas",K38,"")</f>
        <v/>
      </c>
    </row>
    <row r="42" spans="1:11" ht="15" customHeight="1" x14ac:dyDescent="0.25">
      <c r="A42" s="24" t="s">
        <v>57</v>
      </c>
      <c r="B42" s="39" t="s">
        <v>32</v>
      </c>
      <c r="C42" s="37"/>
      <c r="H42" s="2" t="str">
        <f>IF(F37="2 repas",H38,I42)</f>
        <v/>
      </c>
      <c r="I42" s="2" t="str">
        <f>IF(F37="3 repas",I38,J42)</f>
        <v/>
      </c>
      <c r="J42" s="2" t="str">
        <f>IF(F37="4 repas",J38,K42)</f>
        <v/>
      </c>
      <c r="K42" s="2" t="str">
        <f>IF(F37="5 repas",K38,"")</f>
        <v/>
      </c>
    </row>
    <row r="43" spans="1:11" ht="5.0999999999999996" customHeight="1" x14ac:dyDescent="0.3">
      <c r="B43" s="34"/>
      <c r="C43" s="34"/>
      <c r="D43" s="34"/>
      <c r="E43" s="34"/>
      <c r="F43" s="34"/>
      <c r="H43" s="2" t="str">
        <f>IF(F37="2 repas",H38,I43)</f>
        <v/>
      </c>
      <c r="I43" s="2" t="str">
        <f>IF(F37="3 repas",I38,J43)</f>
        <v/>
      </c>
      <c r="J43" s="2" t="str">
        <f>IF(F37="4 repas",J38,K43)</f>
        <v/>
      </c>
      <c r="K43" s="2" t="str">
        <f>IF(F37="5 repas",K38,"")</f>
        <v/>
      </c>
    </row>
    <row r="44" spans="1:11" x14ac:dyDescent="0.25">
      <c r="B44" s="40" t="s">
        <v>32</v>
      </c>
      <c r="C44" s="43" t="s">
        <v>46</v>
      </c>
      <c r="D44" s="44"/>
      <c r="E44" s="44"/>
      <c r="F44" s="45"/>
      <c r="H44" t="str">
        <f>IF(C42="Nouveau en 2017/2018",H46,I44)</f>
        <v/>
      </c>
      <c r="I44" t="str">
        <f>IF(C42="Entre T1 et T5",I46,J44)</f>
        <v/>
      </c>
      <c r="J44" t="str">
        <f>IF(C42="Entre T6 et T10",J46,K44)</f>
        <v/>
      </c>
      <c r="K44" t="str">
        <f>IF(C42="Entre T11 et T15",K46,"")</f>
        <v/>
      </c>
    </row>
    <row r="45" spans="1:11" x14ac:dyDescent="0.25">
      <c r="C45" s="25" t="s">
        <v>62</v>
      </c>
      <c r="D45" s="26"/>
      <c r="E45" s="26"/>
      <c r="F45" s="27">
        <f>SUM(C13:F13)</f>
        <v>0</v>
      </c>
    </row>
    <row r="46" spans="1:11" ht="15" customHeight="1" x14ac:dyDescent="0.25">
      <c r="C46" s="28" t="s">
        <v>47</v>
      </c>
      <c r="D46" s="29"/>
      <c r="E46" s="29"/>
      <c r="F46" s="30" t="e">
        <f>H44*(SUM(C7:F7))</f>
        <v>#VALUE!</v>
      </c>
      <c r="H46">
        <v>55</v>
      </c>
      <c r="I46">
        <v>55</v>
      </c>
      <c r="J46">
        <v>75</v>
      </c>
      <c r="K46">
        <v>95</v>
      </c>
    </row>
    <row r="47" spans="1:11" ht="15" customHeight="1" x14ac:dyDescent="0.25">
      <c r="C47" s="28" t="s">
        <v>48</v>
      </c>
      <c r="D47" s="29"/>
      <c r="E47" s="29"/>
      <c r="F47" s="30" t="e">
        <f>(C39-F45-F46-F50-F51-F52-F53-F54-F55)/3</f>
        <v>#VALUE!</v>
      </c>
    </row>
    <row r="48" spans="1:11" ht="15" customHeight="1" x14ac:dyDescent="0.25">
      <c r="C48" s="28" t="s">
        <v>49</v>
      </c>
      <c r="D48" s="29"/>
      <c r="E48" s="29"/>
      <c r="F48" s="30" t="e">
        <f>F47</f>
        <v>#VALUE!</v>
      </c>
    </row>
    <row r="49" spans="3:6" ht="15" customHeight="1" x14ac:dyDescent="0.25">
      <c r="C49" s="28" t="s">
        <v>50</v>
      </c>
      <c r="D49" s="29"/>
      <c r="E49" s="29"/>
      <c r="F49" s="30" t="e">
        <f>F48</f>
        <v>#VALUE!</v>
      </c>
    </row>
    <row r="50" spans="3:6" ht="15" customHeight="1" x14ac:dyDescent="0.25">
      <c r="C50" s="28" t="s">
        <v>51</v>
      </c>
      <c r="D50" s="29"/>
      <c r="E50" s="29"/>
      <c r="F50" s="30">
        <f>SUM(C16:F16)/10+SUM(C22:F22)/10+SUM(C24:F24)/10+SUM(C26:F26)/10+SUM(C28:F28)/10+SUM(C30:F30)/10+SUM(C38:F38)/10-C17/10</f>
        <v>57.712499999999999</v>
      </c>
    </row>
    <row r="51" spans="3:6" ht="15" customHeight="1" x14ac:dyDescent="0.25">
      <c r="C51" s="28" t="s">
        <v>52</v>
      </c>
      <c r="D51" s="29"/>
      <c r="E51" s="29"/>
      <c r="F51" s="30">
        <f>F50</f>
        <v>57.712499999999999</v>
      </c>
    </row>
    <row r="52" spans="3:6" ht="15" customHeight="1" x14ac:dyDescent="0.25">
      <c r="C52" s="28" t="s">
        <v>53</v>
      </c>
      <c r="D52" s="29"/>
      <c r="E52" s="29"/>
      <c r="F52" s="30">
        <f>F51</f>
        <v>57.712499999999999</v>
      </c>
    </row>
    <row r="53" spans="3:6" ht="15" customHeight="1" x14ac:dyDescent="0.25">
      <c r="C53" s="28" t="s">
        <v>54</v>
      </c>
      <c r="D53" s="29"/>
      <c r="E53" s="29"/>
      <c r="F53" s="30">
        <f>F52</f>
        <v>57.712499999999999</v>
      </c>
    </row>
    <row r="54" spans="3:6" ht="15" customHeight="1" x14ac:dyDescent="0.25">
      <c r="C54" s="28" t="s">
        <v>55</v>
      </c>
      <c r="D54" s="29"/>
      <c r="E54" s="29"/>
      <c r="F54" s="30">
        <f>F53</f>
        <v>57.712499999999999</v>
      </c>
    </row>
    <row r="55" spans="3:6" ht="15" customHeight="1" x14ac:dyDescent="0.25">
      <c r="C55" s="31" t="s">
        <v>56</v>
      </c>
      <c r="D55" s="32"/>
      <c r="E55" s="32"/>
      <c r="F55" s="33">
        <f>F54</f>
        <v>57.712499999999999</v>
      </c>
    </row>
    <row r="56" spans="3:6" ht="15" customHeight="1" x14ac:dyDescent="0.25"/>
    <row r="57" spans="3:6" ht="15" customHeight="1" x14ac:dyDescent="0.25"/>
    <row r="76" spans="1:1" hidden="1" x14ac:dyDescent="0.25">
      <c r="A76" t="s">
        <v>5</v>
      </c>
    </row>
    <row r="77" spans="1:1" hidden="1" x14ac:dyDescent="0.25">
      <c r="A77" t="s">
        <v>4</v>
      </c>
    </row>
    <row r="78" spans="1:1" hidden="1" x14ac:dyDescent="0.25"/>
    <row r="79" spans="1:1" hidden="1" x14ac:dyDescent="0.25">
      <c r="A79" t="s">
        <v>6</v>
      </c>
    </row>
    <row r="80" spans="1:1" hidden="1" x14ac:dyDescent="0.25">
      <c r="A80" t="s">
        <v>7</v>
      </c>
    </row>
    <row r="81" spans="1:1" hidden="1" x14ac:dyDescent="0.25"/>
    <row r="82" spans="1:1" hidden="1" x14ac:dyDescent="0.25">
      <c r="A82" t="s">
        <v>12</v>
      </c>
    </row>
    <row r="83" spans="1:1" hidden="1" x14ac:dyDescent="0.25">
      <c r="A83" t="s">
        <v>13</v>
      </c>
    </row>
    <row r="84" spans="1:1" hidden="1" x14ac:dyDescent="0.25"/>
    <row r="85" spans="1:1" hidden="1" x14ac:dyDescent="0.25">
      <c r="A85" t="s">
        <v>40</v>
      </c>
    </row>
    <row r="86" spans="1:1" hidden="1" x14ac:dyDescent="0.25">
      <c r="A86" t="s">
        <v>41</v>
      </c>
    </row>
    <row r="87" spans="1:1" hidden="1" x14ac:dyDescent="0.25">
      <c r="A87" t="s">
        <v>42</v>
      </c>
    </row>
    <row r="88" spans="1:1" hidden="1" x14ac:dyDescent="0.25">
      <c r="A88" t="s">
        <v>43</v>
      </c>
    </row>
    <row r="89" spans="1:1" hidden="1" x14ac:dyDescent="0.25"/>
    <row r="90" spans="1:1" hidden="1" x14ac:dyDescent="0.25">
      <c r="A90" t="s">
        <v>61</v>
      </c>
    </row>
    <row r="91" spans="1:1" hidden="1" x14ac:dyDescent="0.25">
      <c r="A91" t="s">
        <v>58</v>
      </c>
    </row>
    <row r="92" spans="1:1" hidden="1" x14ac:dyDescent="0.25">
      <c r="A92" t="s">
        <v>59</v>
      </c>
    </row>
    <row r="93" spans="1:1" hidden="1" x14ac:dyDescent="0.25">
      <c r="A93" t="s">
        <v>60</v>
      </c>
    </row>
  </sheetData>
  <sheetProtection algorithmName="SHA-512" hashValue="vNCUbhR0jFqeXO/kvVdrMJls0x15d7G9uM9bPcdNji/oZi0+qiwxQ8WdgAJVw0ipjFs0FBaHhvw8K+6HLMAStw==" saltValue="hNDcOFn3/GKOXaA2wnFmTw==" spinCount="100000" sheet="1" objects="1" scenarios="1" selectLockedCells="1"/>
  <mergeCells count="12">
    <mergeCell ref="C1:F1"/>
    <mergeCell ref="A2:F2"/>
    <mergeCell ref="C44:F44"/>
    <mergeCell ref="C39:F39"/>
    <mergeCell ref="C17:F17"/>
    <mergeCell ref="C4:F4"/>
    <mergeCell ref="C8:F8"/>
    <mergeCell ref="C9:F9"/>
    <mergeCell ref="C10:F10"/>
    <mergeCell ref="C14:F14"/>
    <mergeCell ref="C15:F15"/>
    <mergeCell ref="C11:F11"/>
  </mergeCells>
  <phoneticPr fontId="0" type="noConversion"/>
  <conditionalFormatting sqref="E22">
    <cfRule type="cellIs" dxfId="20" priority="25" stopIfTrue="1" operator="greaterThan">
      <formula>0</formula>
    </cfRule>
    <cfRule type="cellIs" dxfId="19" priority="26" stopIfTrue="1" operator="greaterThan">
      <formula>0</formula>
    </cfRule>
  </conditionalFormatting>
  <conditionalFormatting sqref="C22">
    <cfRule type="cellIs" dxfId="18" priority="24" stopIfTrue="1" operator="greaterThan">
      <formula>" -   € "</formula>
    </cfRule>
  </conditionalFormatting>
  <conditionalFormatting sqref="D22">
    <cfRule type="cellIs" dxfId="17" priority="23" stopIfTrue="1" operator="greaterThan">
      <formula>" -   € "</formula>
    </cfRule>
  </conditionalFormatting>
  <conditionalFormatting sqref="F22">
    <cfRule type="cellIs" dxfId="16" priority="22" stopIfTrue="1" operator="greaterThan">
      <formula>0</formula>
    </cfRule>
  </conditionalFormatting>
  <conditionalFormatting sqref="C22:F22">
    <cfRule type="cellIs" dxfId="15" priority="21" stopIfTrue="1" operator="equal">
      <formula>48</formula>
    </cfRule>
  </conditionalFormatting>
  <conditionalFormatting sqref="C24:F24">
    <cfRule type="cellIs" dxfId="14" priority="19" stopIfTrue="1" operator="equal">
      <formula>140</formula>
    </cfRule>
    <cfRule type="cellIs" dxfId="13" priority="20" stopIfTrue="1" operator="greaterThan">
      <formula>140</formula>
    </cfRule>
  </conditionalFormatting>
  <conditionalFormatting sqref="C26:F26">
    <cfRule type="cellIs" dxfId="12" priority="18" stopIfTrue="1" operator="equal">
      <formula>140</formula>
    </cfRule>
  </conditionalFormatting>
  <conditionalFormatting sqref="C28:F28">
    <cfRule type="cellIs" dxfId="11" priority="17" stopIfTrue="1" operator="equal">
      <formula>70</formula>
    </cfRule>
  </conditionalFormatting>
  <conditionalFormatting sqref="C30:F30">
    <cfRule type="cellIs" dxfId="10" priority="16" stopIfTrue="1" operator="equal">
      <formula>140</formula>
    </cfRule>
  </conditionalFormatting>
  <conditionalFormatting sqref="C32:F32">
    <cfRule type="cellIs" dxfId="9" priority="15" stopIfTrue="1" operator="equal">
      <formula>100</formula>
    </cfRule>
  </conditionalFormatting>
  <conditionalFormatting sqref="C35:F36 C38:F38">
    <cfRule type="cellIs" dxfId="8" priority="13" operator="equal">
      <formula>10</formula>
    </cfRule>
  </conditionalFormatting>
  <conditionalFormatting sqref="C17:F17">
    <cfRule type="cellIs" dxfId="7" priority="10" stopIfTrue="1" operator="greaterThan">
      <formula>0</formula>
    </cfRule>
    <cfRule type="cellIs" dxfId="6" priority="11" stopIfTrue="1" operator="greaterThan">
      <formula>1</formula>
    </cfRule>
    <cfRule type="cellIs" dxfId="5" priority="12" stopIfTrue="1" operator="greaterThan">
      <formula>0</formula>
    </cfRule>
  </conditionalFormatting>
  <conditionalFormatting sqref="C33:F33">
    <cfRule type="cellIs" dxfId="4" priority="9" stopIfTrue="1" operator="equal">
      <formula>5</formula>
    </cfRule>
  </conditionalFormatting>
  <conditionalFormatting sqref="C1:F1 C3:F3">
    <cfRule type="iconSet" priority="8">
      <iconSet iconSet="3TrafficLights2">
        <cfvo type="percent" val="0"/>
        <cfvo type="percent" val="33"/>
        <cfvo type="percent" val="67"/>
      </iconSet>
    </cfRule>
  </conditionalFormatting>
  <conditionalFormatting sqref="C38:F38">
    <cfRule type="cellIs" dxfId="3" priority="1" stopIfTrue="1" operator="equal">
      <formula>380</formula>
    </cfRule>
    <cfRule type="cellIs" dxfId="2" priority="2" stopIfTrue="1" operator="equal">
      <formula>550</formula>
    </cfRule>
    <cfRule type="cellIs" dxfId="1" priority="5" stopIfTrue="1" operator="equal">
      <formula>720</formula>
    </cfRule>
    <cfRule type="cellIs" dxfId="0" priority="7" stopIfTrue="1" operator="equal">
      <formula>880</formula>
    </cfRule>
  </conditionalFormatting>
  <dataValidations count="5">
    <dataValidation type="list" allowBlank="1" showInputMessage="1" showErrorMessage="1" sqref="C12:F12">
      <formula1>$A$78:$A$80</formula1>
    </dataValidation>
    <dataValidation type="list" allowBlank="1" showInputMessage="1" showErrorMessage="1" sqref="C14:F14 C25:F25 C23:F23 C34:F34 C29:F29 C27:F27">
      <formula1>$A$81:$A$83</formula1>
    </dataValidation>
    <dataValidation type="list" allowBlank="1" showInputMessage="1" showErrorMessage="1" sqref="C37:F37">
      <formula1>$A$84:$A$88</formula1>
    </dataValidation>
    <dataValidation type="list" allowBlank="1" showInputMessage="1" showErrorMessage="1" sqref="C42">
      <formula1>$A$89:$A$93</formula1>
    </dataValidation>
    <dataValidation type="list" allowBlank="1" showInputMessage="1" showErrorMessage="1" sqref="C6:F6">
      <formula1>$A$75:$A$77</formula1>
    </dataValidation>
  </dataValidations>
  <pageMargins left="0.70866141732283472" right="0.70866141732283472" top="0.55118110236220474" bottom="0.15748031496062992" header="0.11811023622047245" footer="0.11811023622047245"/>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Feuille de calcul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Laurey</dc:creator>
  <cp:lastModifiedBy>Jean-Pierre Laurey</cp:lastModifiedBy>
  <cp:lastPrinted>2016-02-10T08:39:44Z</cp:lastPrinted>
  <dcterms:created xsi:type="dcterms:W3CDTF">2014-12-19T05:42:45Z</dcterms:created>
  <dcterms:modified xsi:type="dcterms:W3CDTF">2016-10-18T10:08:14Z</dcterms:modified>
</cp:coreProperties>
</file>